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Utente\Desktop\Comune di Torino di Sangro\TDS - Fabbisogno 2023\Rendiconto 2022\"/>
    </mc:Choice>
  </mc:AlternateContent>
  <xr:revisionPtr revIDLastSave="0" documentId="13_ncr:1_{0C5642E1-3685-4D9C-B8C2-B6A1F4F1C5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llegato D - raccordo" sheetId="5" r:id="rId1"/>
    <sheet name="Componenti escluse" sheetId="3" r:id="rId2"/>
  </sheets>
  <definedNames>
    <definedName name="_xlnm.Print_Area" localSheetId="0">'Allegato D - raccordo'!$A$1:$Q$40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5" l="1"/>
  <c r="L15" i="5"/>
  <c r="L18" i="5"/>
  <c r="E18" i="5"/>
  <c r="J18" i="5" s="1"/>
  <c r="L17" i="5"/>
  <c r="E17" i="5"/>
  <c r="J17" i="5" s="1"/>
  <c r="E16" i="5"/>
  <c r="G16" i="5" s="1"/>
  <c r="K16" i="5" s="1"/>
  <c r="E15" i="5"/>
  <c r="J15" i="5" s="1"/>
  <c r="L14" i="5"/>
  <c r="E14" i="5"/>
  <c r="J14" i="5" s="1"/>
  <c r="L13" i="5"/>
  <c r="E13" i="5"/>
  <c r="J13" i="5" s="1"/>
  <c r="P12" i="5"/>
  <c r="L12" i="5"/>
  <c r="E12" i="5"/>
  <c r="J12" i="5" s="1"/>
  <c r="P11" i="5"/>
  <c r="L11" i="5"/>
  <c r="E11" i="5"/>
  <c r="G11" i="5" s="1"/>
  <c r="P10" i="5"/>
  <c r="L10" i="5"/>
  <c r="E10" i="5"/>
  <c r="G10" i="5" s="1"/>
  <c r="P9" i="5"/>
  <c r="L9" i="5"/>
  <c r="E9" i="5"/>
  <c r="J9" i="5" s="1"/>
  <c r="L8" i="5"/>
  <c r="E8" i="5"/>
  <c r="J8" i="5" s="1"/>
  <c r="H26" i="3"/>
  <c r="G26" i="3"/>
  <c r="F26" i="3"/>
  <c r="C12" i="3"/>
  <c r="C20" i="3"/>
  <c r="L19" i="5" l="1"/>
  <c r="G14" i="5"/>
  <c r="K14" i="5" s="1"/>
  <c r="J11" i="5"/>
  <c r="K11" i="5" s="1"/>
  <c r="G17" i="5"/>
  <c r="K17" i="5" s="1"/>
  <c r="J10" i="5"/>
  <c r="K10" i="5" s="1"/>
  <c r="G15" i="5"/>
  <c r="K15" i="5" s="1"/>
  <c r="G9" i="5"/>
  <c r="K9" i="5" s="1"/>
  <c r="G13" i="5"/>
  <c r="K13" i="5" s="1"/>
  <c r="G12" i="5"/>
  <c r="K12" i="5" s="1"/>
  <c r="G8" i="5"/>
  <c r="K8" i="5" s="1"/>
  <c r="G18" i="5"/>
  <c r="K18" i="5" s="1"/>
  <c r="B20" i="3"/>
  <c r="D19" i="3"/>
  <c r="D18" i="3"/>
  <c r="D17" i="3"/>
  <c r="D16" i="3"/>
  <c r="B12" i="3"/>
  <c r="D11" i="3"/>
  <c r="F11" i="3" s="1"/>
  <c r="D10" i="3"/>
  <c r="F10" i="3" s="1"/>
  <c r="D9" i="3"/>
  <c r="F9" i="3" s="1"/>
  <c r="D8" i="3"/>
  <c r="F8" i="3" s="1"/>
  <c r="D7" i="3"/>
  <c r="F7" i="3" s="1"/>
  <c r="J19" i="5" l="1"/>
  <c r="F16" i="3"/>
  <c r="E16" i="3"/>
  <c r="E19" i="3"/>
  <c r="F19" i="3"/>
  <c r="E18" i="3"/>
  <c r="F18" i="3"/>
  <c r="D20" i="3"/>
  <c r="E17" i="3"/>
  <c r="F17" i="3"/>
  <c r="E9" i="3"/>
  <c r="G9" i="3" s="1"/>
  <c r="E7" i="3"/>
  <c r="G7" i="3" s="1"/>
  <c r="E11" i="3"/>
  <c r="G11" i="3" s="1"/>
  <c r="E8" i="3"/>
  <c r="G8" i="3" s="1"/>
  <c r="D12" i="3"/>
  <c r="E10" i="3"/>
  <c r="G10" i="3" s="1"/>
  <c r="K35" i="5" l="1"/>
  <c r="K40" i="5" s="1"/>
  <c r="G16" i="3"/>
  <c r="G19" i="3"/>
  <c r="G18" i="3"/>
  <c r="G17" i="3"/>
  <c r="G12" i="3"/>
  <c r="G20" i="3" l="1"/>
</calcChain>
</file>

<file path=xl/sharedStrings.xml><?xml version="1.0" encoding="utf-8"?>
<sst xmlns="http://schemas.openxmlformats.org/spreadsheetml/2006/main" count="115" uniqueCount="91">
  <si>
    <t>PROFILO PROFESSIONALE</t>
  </si>
  <si>
    <t>D1</t>
  </si>
  <si>
    <t>Istruttore amministrativo</t>
  </si>
  <si>
    <t>B1</t>
  </si>
  <si>
    <t>Personale in comando in entrata</t>
  </si>
  <si>
    <t>B3</t>
  </si>
  <si>
    <t>TEMPO DEL LAVORO</t>
  </si>
  <si>
    <t xml:space="preserve">Stipendio tabellare  personale in servizio </t>
  </si>
  <si>
    <t>N. POSTI ATTUALI</t>
  </si>
  <si>
    <t>COSTO TABELLARE</t>
  </si>
  <si>
    <t>NUMERO POSTI Dotazione organica definitiva</t>
  </si>
  <si>
    <t>Previsione di trasformazioni da tempo parziale a tempo pieno</t>
  </si>
  <si>
    <t>Personale in servizio a tempo indeterminato inclusi i dipendenti in comando/distacco</t>
  </si>
  <si>
    <t>Altre tipologie di assunzioni di lavoro flessibile</t>
  </si>
  <si>
    <t>Fondo del trattamento accessorio</t>
  </si>
  <si>
    <t>Fondo del lavoro straordinario</t>
  </si>
  <si>
    <t>Oneri previdenziali</t>
  </si>
  <si>
    <t>Irap</t>
  </si>
  <si>
    <t>DOTAZIONE ORGANICA E RACCORDO CON IL LIMITE MASSIMO POTENZIALE</t>
  </si>
  <si>
    <t>ANNO</t>
  </si>
  <si>
    <t>Altre spese di personale</t>
  </si>
  <si>
    <t>TOTALE IMPORTO LORDO DELLE SPESE DI PERSONALE A REGIME SU BASE ANNUA</t>
  </si>
  <si>
    <t>Assunzioni a tempo determinato</t>
  </si>
  <si>
    <t>Si tratta della spesa massima che l'ente potrà sostenere nell'anno di riferimento</t>
  </si>
  <si>
    <t>RACCORDO CON IL CONTENIMENTO DELLE SPESE DI PERSONALE</t>
  </si>
  <si>
    <t>Voci escluse dal calcolo dell'art. 1 comma 557 della legge 296/2006
(vedi prospetto allegato alla Deliberazione)</t>
  </si>
  <si>
    <t>TOTALE SPESE DI PERSONALE AL NETTO DELLE ESCLUSIONI DA CONFRONTARE CON MEDIA 2011/2013</t>
  </si>
  <si>
    <t>Si tratta del rispetto del comma 557 e della dimostrazione della sostenibilità della programmazione dei fabbisogni</t>
  </si>
  <si>
    <t>LIMITE MASSIMO POTENZIALE DOTAZIONE ORGANICA: PARI ALLA SPESA DI PERSONALE DELLA MEDIA DEGLI ANNI 2011/2013
ART. 1 COMMA 557 LEGGE 296/2006</t>
  </si>
  <si>
    <t>Agente di polizia locale</t>
  </si>
  <si>
    <t>TABELLA DI RACCORDO TRA DOTAZIONE ORGANICA E LIMITE MASSIMO POTENZIALE DI SPESA 
COME INDICATO DALLA LINEE DI INDIRIZZO PUBBLICATE SULLA GAZZETTA UFFICIALE 27/07/2018</t>
  </si>
  <si>
    <t>Spesa per nuove assunzioni / maggiori spese</t>
  </si>
  <si>
    <t>Segretario Comunale</t>
  </si>
  <si>
    <t>Retribuzione di posizione e di risultato delle Posizioni Organizzative</t>
  </si>
  <si>
    <t>CON 13</t>
  </si>
  <si>
    <t>Indennità di comparto a carico del bilancio</t>
  </si>
  <si>
    <r>
      <t xml:space="preserve">ALTRE VOCI CHE COSTITUISCONO SPESA DI PERSONALE
</t>
    </r>
    <r>
      <rPr>
        <b/>
        <sz val="12"/>
        <color theme="4" tint="-0.499984740745262"/>
        <rFont val="Open Sans Condensed"/>
        <family val="2"/>
      </rPr>
      <t>(i dati di dettaglio sono contenuti nella tabella che riassume le spese di personale - Art. 1 comma 557 legge 296/2006)</t>
    </r>
  </si>
  <si>
    <t>PREVISIONE CESSAZIONI</t>
  </si>
  <si>
    <t>TOTALE COSTO ASSUNZIONI</t>
  </si>
  <si>
    <t>PREVISIONE ASSUNZIONI</t>
  </si>
  <si>
    <t xml:space="preserve"> Spesa totale FINALE 
(in SERV - CESS. + ASS.) </t>
  </si>
  <si>
    <t>COSTO DELLE ASSUNZIONI CONSENTITE AI SENSI DEL DM 17 MARZO 2020 IN DEROGA AL LIMITE DELL'ART. 1 COMMA 557 LEGGE 296/2006 PER COMUNI VIRTUOSI</t>
  </si>
  <si>
    <t xml:space="preserve"> </t>
  </si>
  <si>
    <t>Istruttore direttivo tecnico</t>
  </si>
  <si>
    <t>Istruttore tecnico</t>
  </si>
  <si>
    <t xml:space="preserve">Personale in convenzione in entrata </t>
  </si>
  <si>
    <t>CAT.</t>
  </si>
  <si>
    <t>TEMPO PIENO</t>
  </si>
  <si>
    <t>PART TIME</t>
  </si>
  <si>
    <t>TOTALE</t>
  </si>
  <si>
    <t>CCNL 2018</t>
  </si>
  <si>
    <t>CCNL 2008</t>
  </si>
  <si>
    <t>SPESA</t>
  </si>
  <si>
    <t>C</t>
  </si>
  <si>
    <t>A1</t>
  </si>
  <si>
    <t>TOTALI</t>
  </si>
  <si>
    <t xml:space="preserve">CONTRIBUTI </t>
  </si>
  <si>
    <t>IRAP</t>
  </si>
  <si>
    <t>Vedi foglio "Componenti escluse"</t>
  </si>
  <si>
    <t>FUNZIONARI/EQ</t>
  </si>
  <si>
    <t>ISTRUTTORI</t>
  </si>
  <si>
    <t>OPERATORI ESP.</t>
  </si>
  <si>
    <t>OPERATORI</t>
  </si>
  <si>
    <t>COSTO DEGLI STIPENDI TABELLARI DI ACCESSO
CCNL 16/11/2022</t>
  </si>
  <si>
    <t>NUOVA CLASSIFICAZIONE EX CCNL 16/11/2022 (DAL 1° APRILE 2023)</t>
  </si>
  <si>
    <t>Collaboratore amministrativo</t>
  </si>
  <si>
    <t>FUNZ.</t>
  </si>
  <si>
    <t>ISTR.</t>
  </si>
  <si>
    <t>OP.ESP.</t>
  </si>
  <si>
    <t>ISTR. (ex C)</t>
  </si>
  <si>
    <t>DIPENDENTE</t>
  </si>
  <si>
    <t>DI PAOLO PIETRO</t>
  </si>
  <si>
    <t>CCNL 2022</t>
  </si>
  <si>
    <t>OPERAT.</t>
  </si>
  <si>
    <t>Nuova dotazione organica - Componenti escluse</t>
  </si>
  <si>
    <t>Rinnovi contrattuali</t>
  </si>
  <si>
    <t>UTILIZZO PRESSO ALTRO ENTE</t>
  </si>
  <si>
    <t>6h settimanali</t>
  </si>
  <si>
    <t>SPESA A RIMBORSO</t>
  </si>
  <si>
    <t>Rimborso personale presso altro ente</t>
  </si>
  <si>
    <t xml:space="preserve">Incarico ex art. 1, comma 557, Legge n. 311/2004 </t>
  </si>
  <si>
    <t>F</t>
  </si>
  <si>
    <t>I</t>
  </si>
  <si>
    <t>OE</t>
  </si>
  <si>
    <t>O</t>
  </si>
  <si>
    <t>AREA</t>
  </si>
  <si>
    <t>Istruttore contabile</t>
  </si>
  <si>
    <t>Operaio</t>
  </si>
  <si>
    <t>Articolo 7 comma 1 del DM 17/03/2020 - Va detratto la maggiore spesa derivante dalle assunzioni effettuate ai sensi del predetto DM (Spesa personale ex DM 17/03/2020 - Spesa personale anno 2022)</t>
  </si>
  <si>
    <t>Utilizzo ex art. 23 CCNL 2019/2021 Funzionario tecnico(6h settimanali) fino al 30/06/2023</t>
  </si>
  <si>
    <t xml:space="preserve">Utilizzo dipendenti ex art. 1, comma 557, Legge 311/2004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</si>
</sst>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 Condensed"/>
      <family val="2"/>
    </font>
    <font>
      <b/>
      <sz val="14"/>
      <color theme="1"/>
      <name val="Open Sans Condensed"/>
      <family val="2"/>
    </font>
    <font>
      <b/>
      <sz val="16"/>
      <color theme="4" tint="-0.499984740745262"/>
      <name val="Open Sans Condensed"/>
      <family val="2"/>
    </font>
    <font>
      <b/>
      <sz val="11"/>
      <color theme="1"/>
      <name val="Open Sans Condensed"/>
      <family val="2"/>
    </font>
    <font>
      <b/>
      <sz val="9"/>
      <color theme="1"/>
      <name val="Open Sans Condensed"/>
      <family val="2"/>
    </font>
    <font>
      <sz val="9"/>
      <color theme="1"/>
      <name val="Open Sans Condensed"/>
      <family val="2"/>
    </font>
    <font>
      <b/>
      <sz val="14"/>
      <color theme="4" tint="-0.499984740745262"/>
      <name val="Open Sans Condensed"/>
      <family val="2"/>
    </font>
    <font>
      <b/>
      <sz val="12"/>
      <color theme="4" tint="-0.499984740745262"/>
      <name val="Open Sans Condensed"/>
      <family val="2"/>
    </font>
    <font>
      <b/>
      <sz val="11"/>
      <color rgb="FFFF0000"/>
      <name val="Open Sans Condensed"/>
      <family val="2"/>
    </font>
    <font>
      <sz val="12"/>
      <color theme="1"/>
      <name val="Open Sans Condensed"/>
      <family val="2"/>
    </font>
    <font>
      <sz val="11"/>
      <color rgb="FFFF0000"/>
      <name val="Open Sans Condensed"/>
      <family val="2"/>
    </font>
    <font>
      <b/>
      <sz val="12"/>
      <color rgb="FF00B050"/>
      <name val="Open Sans Condensed"/>
    </font>
    <font>
      <b/>
      <sz val="11"/>
      <color rgb="FF00B050"/>
      <name val="Open Sans Condensed"/>
    </font>
    <font>
      <b/>
      <sz val="11"/>
      <color theme="1"/>
      <name val="Open Sans Condensed"/>
    </font>
    <font>
      <b/>
      <sz val="17"/>
      <color theme="4" tint="-0.499984740745262"/>
      <name val="Open Sans Condensed"/>
      <family val="2"/>
    </font>
    <font>
      <sz val="11"/>
      <color theme="1"/>
      <name val="Open Sans Condensed"/>
    </font>
    <font>
      <b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43" fontId="2" fillId="0" borderId="0" xfId="0" applyNumberFormat="1" applyFont="1"/>
    <xf numFmtId="0" fontId="2" fillId="0" borderId="0" xfId="0" applyFont="1"/>
    <xf numFmtId="43" fontId="2" fillId="0" borderId="0" xfId="1" applyFont="1"/>
    <xf numFmtId="0" fontId="4" fillId="0" borderId="3" xfId="0" applyFont="1" applyBorder="1" applyAlignment="1">
      <alignment horizontal="right"/>
    </xf>
    <xf numFmtId="0" fontId="4" fillId="0" borderId="5" xfId="0" applyFont="1" applyBorder="1"/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164" fontId="2" fillId="0" borderId="1" xfId="0" applyNumberFormat="1" applyFont="1" applyBorder="1"/>
    <xf numFmtId="43" fontId="2" fillId="0" borderId="1" xfId="0" applyNumberFormat="1" applyFont="1" applyBorder="1"/>
    <xf numFmtId="43" fontId="2" fillId="0" borderId="1" xfId="1" applyFont="1" applyBorder="1"/>
    <xf numFmtId="0" fontId="2" fillId="0" borderId="2" xfId="0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43" fontId="5" fillId="0" borderId="0" xfId="0" applyNumberFormat="1" applyFont="1" applyAlignment="1">
      <alignment wrapText="1"/>
    </xf>
    <xf numFmtId="0" fontId="10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3" fontId="15" fillId="4" borderId="1" xfId="0" applyNumberFormat="1" applyFont="1" applyFill="1" applyBorder="1"/>
    <xf numFmtId="44" fontId="2" fillId="0" borderId="1" xfId="3" applyFont="1" applyBorder="1"/>
    <xf numFmtId="44" fontId="2" fillId="3" borderId="1" xfId="3" applyFont="1" applyFill="1" applyBorder="1"/>
    <xf numFmtId="44" fontId="3" fillId="0" borderId="1" xfId="3" applyFont="1" applyBorder="1"/>
    <xf numFmtId="44" fontId="3" fillId="0" borderId="1" xfId="3" applyFont="1" applyBorder="1" applyAlignment="1">
      <alignment vertical="center"/>
    </xf>
    <xf numFmtId="44" fontId="3" fillId="0" borderId="1" xfId="3" applyFont="1" applyFill="1" applyBorder="1" applyAlignment="1">
      <alignment vertical="center"/>
    </xf>
    <xf numFmtId="43" fontId="17" fillId="0" borderId="0" xfId="0" applyNumberFormat="1" applyFont="1" applyAlignment="1">
      <alignment wrapText="1"/>
    </xf>
    <xf numFmtId="0" fontId="20" fillId="0" borderId="16" xfId="0" applyFont="1" applyBorder="1" applyAlignment="1">
      <alignment horizontal="center" vertical="center" wrapText="1"/>
    </xf>
    <xf numFmtId="4" fontId="20" fillId="0" borderId="1" xfId="1" applyNumberFormat="1" applyFont="1" applyBorder="1" applyAlignment="1" applyProtection="1">
      <alignment horizontal="center" vertical="center" wrapText="1"/>
    </xf>
    <xf numFmtId="4" fontId="20" fillId="0" borderId="1" xfId="1" applyNumberFormat="1" applyFont="1" applyBorder="1" applyAlignment="1" applyProtection="1">
      <alignment horizontal="center" vertical="center"/>
    </xf>
    <xf numFmtId="4" fontId="21" fillId="0" borderId="1" xfId="1" applyNumberFormat="1" applyFont="1" applyBorder="1" applyAlignment="1" applyProtection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4" fontId="21" fillId="0" borderId="20" xfId="1" applyNumberFormat="1" applyFont="1" applyBorder="1" applyAlignment="1" applyProtection="1">
      <alignment horizontal="center" vertical="center"/>
    </xf>
    <xf numFmtId="44" fontId="3" fillId="4" borderId="2" xfId="3" applyFont="1" applyFill="1" applyBorder="1" applyAlignment="1">
      <alignment horizontal="center" vertical="center"/>
    </xf>
    <xf numFmtId="44" fontId="2" fillId="3" borderId="1" xfId="3" applyFont="1" applyFill="1" applyBorder="1" applyAlignment="1">
      <alignment vertical="center"/>
    </xf>
    <xf numFmtId="43" fontId="17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43" fontId="17" fillId="0" borderId="11" xfId="0" applyNumberFormat="1" applyFont="1" applyBorder="1" applyAlignment="1">
      <alignment horizontal="left" vertical="center" wrapText="1"/>
    </xf>
    <xf numFmtId="0" fontId="12" fillId="0" borderId="0" xfId="0" applyFont="1"/>
    <xf numFmtId="43" fontId="2" fillId="0" borderId="0" xfId="1" applyFont="1" applyBorder="1"/>
    <xf numFmtId="43" fontId="2" fillId="0" borderId="11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44" fontId="20" fillId="0" borderId="1" xfId="3" applyFont="1" applyBorder="1" applyAlignment="1" applyProtection="1">
      <alignment horizontal="right" vertical="center"/>
    </xf>
    <xf numFmtId="44" fontId="22" fillId="0" borderId="1" xfId="3" applyFont="1" applyBorder="1" applyProtection="1"/>
    <xf numFmtId="44" fontId="22" fillId="0" borderId="18" xfId="3" applyFont="1" applyBorder="1" applyProtection="1"/>
    <xf numFmtId="44" fontId="23" fillId="0" borderId="1" xfId="3" applyFont="1" applyBorder="1" applyAlignment="1" applyProtection="1">
      <alignment horizontal="right" vertical="center"/>
    </xf>
    <xf numFmtId="44" fontId="21" fillId="0" borderId="20" xfId="3" applyFont="1" applyBorder="1" applyAlignment="1" applyProtection="1">
      <alignment horizontal="right" vertical="center" wrapText="1"/>
    </xf>
    <xf numFmtId="44" fontId="24" fillId="0" borderId="20" xfId="3" applyFont="1" applyBorder="1" applyProtection="1"/>
    <xf numFmtId="44" fontId="24" fillId="0" borderId="21" xfId="3" applyFont="1" applyBorder="1" applyProtection="1"/>
    <xf numFmtId="44" fontId="20" fillId="0" borderId="20" xfId="3" applyFont="1" applyBorder="1" applyAlignment="1">
      <alignment horizontal="center" vertical="center"/>
    </xf>
    <xf numFmtId="44" fontId="20" fillId="0" borderId="28" xfId="3" applyFont="1" applyBorder="1" applyAlignment="1">
      <alignment horizontal="center" vertical="center"/>
    </xf>
    <xf numFmtId="44" fontId="21" fillId="0" borderId="21" xfId="3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3" fillId="0" borderId="1" xfId="3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3" fontId="17" fillId="0" borderId="3" xfId="0" applyNumberFormat="1" applyFont="1" applyBorder="1" applyAlignment="1">
      <alignment horizontal="left" vertical="center" wrapText="1"/>
    </xf>
    <xf numFmtId="43" fontId="17" fillId="0" borderId="4" xfId="0" applyNumberFormat="1" applyFont="1" applyBorder="1" applyAlignment="1">
      <alignment horizontal="left" vertical="center" wrapText="1"/>
    </xf>
    <xf numFmtId="43" fontId="17" fillId="0" borderId="5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right" vertical="center"/>
    </xf>
    <xf numFmtId="0" fontId="14" fillId="4" borderId="5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left" vertical="center" wrapText="1"/>
    </xf>
    <xf numFmtId="43" fontId="17" fillId="0" borderId="0" xfId="0" applyNumberFormat="1" applyFont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left" vertical="center"/>
    </xf>
    <xf numFmtId="43" fontId="17" fillId="0" borderId="1" xfId="0" applyNumberFormat="1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15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5" borderId="25" xfId="0" applyFont="1" applyFill="1" applyBorder="1" applyAlignment="1">
      <alignment horizontal="center" vertical="center" wrapText="1"/>
    </xf>
    <xf numFmtId="0" fontId="25" fillId="5" borderId="26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43" fontId="20" fillId="0" borderId="20" xfId="1" applyFont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44" fontId="10" fillId="0" borderId="0" xfId="0" applyNumberFormat="1" applyFont="1"/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502-3B3C-4B66-9191-4FEB81379299}">
  <dimension ref="A1:S43"/>
  <sheetViews>
    <sheetView tabSelected="1" topLeftCell="A3" workbookViewId="0">
      <selection activeCell="N18" sqref="N18"/>
    </sheetView>
  </sheetViews>
  <sheetFormatPr defaultColWidth="9.109375" defaultRowHeight="13.8"/>
  <cols>
    <col min="1" max="1" width="15" style="2" customWidth="1"/>
    <col min="2" max="2" width="32" style="2" customWidth="1"/>
    <col min="3" max="3" width="13.33203125" style="2" customWidth="1"/>
    <col min="4" max="4" width="9.33203125" style="2" customWidth="1"/>
    <col min="5" max="5" width="12.109375" style="2" customWidth="1"/>
    <col min="6" max="6" width="8.6640625" style="1" customWidth="1"/>
    <col min="7" max="7" width="14.6640625" style="1" customWidth="1"/>
    <col min="8" max="8" width="10.33203125" style="1" customWidth="1"/>
    <col min="9" max="9" width="10.6640625" style="1" customWidth="1"/>
    <col min="10" max="10" width="14.33203125" style="1" customWidth="1"/>
    <col min="11" max="11" width="19.5546875" style="1" bestFit="1" customWidth="1"/>
    <col min="12" max="12" width="13.77734375" style="1" customWidth="1"/>
    <col min="13" max="13" width="9.109375" style="2"/>
    <col min="14" max="14" width="20.6640625" style="2" customWidth="1"/>
    <col min="15" max="15" width="12.21875" style="3" customWidth="1"/>
    <col min="16" max="16" width="11.33203125" style="2" bestFit="1" customWidth="1"/>
    <col min="17" max="17" width="19.77734375" style="2" customWidth="1"/>
    <col min="18" max="16384" width="9.109375" style="2"/>
  </cols>
  <sheetData>
    <row r="1" spans="1:19" ht="75" customHeight="1">
      <c r="A1" s="58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9" ht="48.75" customHeight="1">
      <c r="A2" s="61" t="s">
        <v>28</v>
      </c>
      <c r="B2" s="62"/>
      <c r="C2" s="62"/>
      <c r="D2" s="62"/>
      <c r="E2" s="62"/>
      <c r="F2" s="62"/>
      <c r="G2" s="62"/>
      <c r="H2" s="62"/>
      <c r="I2" s="62"/>
      <c r="J2" s="63"/>
      <c r="K2" s="67">
        <v>552101.41</v>
      </c>
    </row>
    <row r="3" spans="1:19" ht="13.5" customHeight="1">
      <c r="A3" s="64"/>
      <c r="B3" s="65"/>
      <c r="C3" s="65"/>
      <c r="D3" s="65"/>
      <c r="E3" s="65"/>
      <c r="F3" s="65"/>
      <c r="G3" s="65"/>
      <c r="H3" s="65"/>
      <c r="I3" s="65"/>
      <c r="J3" s="66"/>
      <c r="K3" s="67"/>
    </row>
    <row r="4" spans="1:19">
      <c r="A4" s="61"/>
      <c r="B4" s="68"/>
      <c r="C4" s="68"/>
      <c r="D4" s="68"/>
      <c r="E4" s="68"/>
      <c r="F4" s="68"/>
      <c r="G4" s="68"/>
      <c r="H4" s="68"/>
      <c r="I4" s="68"/>
      <c r="J4" s="69"/>
    </row>
    <row r="5" spans="1:19">
      <c r="A5" s="70"/>
      <c r="B5" s="71"/>
      <c r="C5" s="71"/>
      <c r="D5" s="71"/>
      <c r="E5" s="71"/>
      <c r="F5" s="71"/>
      <c r="G5" s="71"/>
      <c r="H5" s="71"/>
      <c r="I5" s="71"/>
      <c r="J5" s="72"/>
    </row>
    <row r="6" spans="1:19" ht="21">
      <c r="A6" s="73" t="s">
        <v>18</v>
      </c>
      <c r="B6" s="73"/>
      <c r="C6" s="73"/>
      <c r="D6" s="73"/>
      <c r="E6" s="73"/>
      <c r="F6" s="73"/>
      <c r="G6" s="73"/>
      <c r="H6" s="73"/>
      <c r="I6" s="73"/>
      <c r="J6" s="4" t="s">
        <v>19</v>
      </c>
      <c r="K6" s="5">
        <v>2023</v>
      </c>
    </row>
    <row r="7" spans="1:19" ht="63" customHeight="1">
      <c r="A7" s="6"/>
      <c r="B7" s="7" t="s">
        <v>0</v>
      </c>
      <c r="C7" s="7" t="s">
        <v>85</v>
      </c>
      <c r="D7" s="7" t="s">
        <v>6</v>
      </c>
      <c r="E7" s="7" t="s">
        <v>9</v>
      </c>
      <c r="F7" s="8" t="s">
        <v>8</v>
      </c>
      <c r="G7" s="8" t="s">
        <v>7</v>
      </c>
      <c r="H7" s="8" t="s">
        <v>37</v>
      </c>
      <c r="I7" s="8" t="s">
        <v>39</v>
      </c>
      <c r="J7" s="9" t="s">
        <v>31</v>
      </c>
      <c r="K7" s="9" t="s">
        <v>40</v>
      </c>
      <c r="L7" s="8" t="s">
        <v>10</v>
      </c>
      <c r="N7" s="57" t="s">
        <v>63</v>
      </c>
      <c r="O7" s="57"/>
      <c r="P7" s="8" t="s">
        <v>34</v>
      </c>
      <c r="Q7" s="8" t="s">
        <v>64</v>
      </c>
      <c r="R7" s="10"/>
      <c r="S7" s="10"/>
    </row>
    <row r="8" spans="1:19">
      <c r="A8" s="80" t="s">
        <v>12</v>
      </c>
      <c r="B8" s="11" t="s">
        <v>43</v>
      </c>
      <c r="C8" s="11" t="s">
        <v>81</v>
      </c>
      <c r="D8" s="12">
        <v>1</v>
      </c>
      <c r="E8" s="13">
        <f t="shared" ref="E8:E16" si="0">SUMIF($N$9:$N$12,C8,$O$9:$O$12)/12*13</f>
        <v>25146.712499999998</v>
      </c>
      <c r="F8" s="14">
        <v>1</v>
      </c>
      <c r="G8" s="15">
        <f>+F8*E8*D8</f>
        <v>25146.712499999998</v>
      </c>
      <c r="H8" s="14">
        <v>0</v>
      </c>
      <c r="I8" s="14">
        <v>0</v>
      </c>
      <c r="J8" s="15">
        <f t="shared" ref="J8:J18" si="1">+I8*E8*D8</f>
        <v>0</v>
      </c>
      <c r="K8" s="25">
        <f>+(G8)-(H8*E8)+J8</f>
        <v>25146.712499999998</v>
      </c>
      <c r="L8" s="14">
        <f>+F8+I8-H8</f>
        <v>1</v>
      </c>
      <c r="O8" s="2"/>
    </row>
    <row r="9" spans="1:19">
      <c r="A9" s="80"/>
      <c r="B9" s="11" t="s">
        <v>44</v>
      </c>
      <c r="C9" s="11" t="s">
        <v>82</v>
      </c>
      <c r="D9" s="12">
        <v>0.83</v>
      </c>
      <c r="E9" s="13">
        <f t="shared" si="0"/>
        <v>23175.609166666665</v>
      </c>
      <c r="F9" s="14">
        <v>1</v>
      </c>
      <c r="G9" s="15">
        <f t="shared" ref="G9:G18" si="2">+F9*E9*D9</f>
        <v>19235.755608333333</v>
      </c>
      <c r="H9" s="14">
        <v>0</v>
      </c>
      <c r="I9" s="14">
        <v>0</v>
      </c>
      <c r="J9" s="15">
        <f t="shared" si="1"/>
        <v>0</v>
      </c>
      <c r="K9" s="25">
        <f>+(G9)-(H9*E9)+J9</f>
        <v>19235.755608333333</v>
      </c>
      <c r="L9" s="14">
        <f t="shared" ref="L9:L18" si="3">+F9+I9-H9</f>
        <v>1</v>
      </c>
      <c r="N9" s="11" t="s">
        <v>81</v>
      </c>
      <c r="O9" s="16">
        <v>23212.35</v>
      </c>
      <c r="P9" s="16">
        <f t="shared" ref="P9:P12" si="4">+O9/12*13</f>
        <v>25146.712499999998</v>
      </c>
      <c r="Q9" s="6" t="s">
        <v>59</v>
      </c>
    </row>
    <row r="10" spans="1:19">
      <c r="A10" s="80"/>
      <c r="B10" s="11" t="s">
        <v>2</v>
      </c>
      <c r="C10" s="11" t="s">
        <v>82</v>
      </c>
      <c r="D10" s="12">
        <v>0.83330000000000004</v>
      </c>
      <c r="E10" s="13">
        <f t="shared" si="0"/>
        <v>23175.609166666665</v>
      </c>
      <c r="F10" s="14">
        <v>1</v>
      </c>
      <c r="G10" s="15">
        <f t="shared" si="2"/>
        <v>19312.235118583332</v>
      </c>
      <c r="H10" s="14">
        <v>0</v>
      </c>
      <c r="I10" s="14">
        <v>0</v>
      </c>
      <c r="J10" s="15">
        <f t="shared" si="1"/>
        <v>0</v>
      </c>
      <c r="K10" s="25">
        <f t="shared" ref="K10:K16" si="5">+(G10)-(H10*E10)+J10</f>
        <v>19312.235118583332</v>
      </c>
      <c r="L10" s="14">
        <f t="shared" si="3"/>
        <v>1</v>
      </c>
      <c r="N10" s="11" t="s">
        <v>82</v>
      </c>
      <c r="O10" s="16">
        <v>21392.87</v>
      </c>
      <c r="P10" s="16">
        <f t="shared" si="4"/>
        <v>23175.609166666665</v>
      </c>
      <c r="Q10" s="6" t="s">
        <v>60</v>
      </c>
    </row>
    <row r="11" spans="1:19">
      <c r="A11" s="80"/>
      <c r="B11" s="11" t="s">
        <v>86</v>
      </c>
      <c r="C11" s="11" t="s">
        <v>82</v>
      </c>
      <c r="D11" s="12">
        <v>0.5</v>
      </c>
      <c r="E11" s="13">
        <f t="shared" si="0"/>
        <v>23175.609166666665</v>
      </c>
      <c r="F11" s="14">
        <v>1</v>
      </c>
      <c r="G11" s="15">
        <f t="shared" si="2"/>
        <v>11587.804583333333</v>
      </c>
      <c r="H11" s="14">
        <v>0</v>
      </c>
      <c r="I11" s="14">
        <v>0</v>
      </c>
      <c r="J11" s="15">
        <f t="shared" si="1"/>
        <v>0</v>
      </c>
      <c r="K11" s="25">
        <f t="shared" si="5"/>
        <v>11587.804583333333</v>
      </c>
      <c r="L11" s="14">
        <f t="shared" si="3"/>
        <v>1</v>
      </c>
      <c r="N11" s="11" t="s">
        <v>83</v>
      </c>
      <c r="O11" s="16">
        <v>19034.509999999998</v>
      </c>
      <c r="P11" s="16">
        <f t="shared" si="4"/>
        <v>20620.719166666666</v>
      </c>
      <c r="Q11" s="6" t="s">
        <v>61</v>
      </c>
    </row>
    <row r="12" spans="1:19">
      <c r="A12" s="80"/>
      <c r="B12" s="11" t="s">
        <v>2</v>
      </c>
      <c r="C12" s="11" t="s">
        <v>82</v>
      </c>
      <c r="D12" s="12">
        <v>1</v>
      </c>
      <c r="E12" s="13">
        <f t="shared" si="0"/>
        <v>23175.609166666665</v>
      </c>
      <c r="F12" s="14">
        <v>2</v>
      </c>
      <c r="G12" s="15">
        <f t="shared" si="2"/>
        <v>46351.218333333331</v>
      </c>
      <c r="H12" s="14">
        <v>0</v>
      </c>
      <c r="I12" s="14">
        <v>2</v>
      </c>
      <c r="J12" s="15">
        <f t="shared" si="1"/>
        <v>46351.218333333331</v>
      </c>
      <c r="K12" s="25">
        <f t="shared" si="5"/>
        <v>92702.436666666661</v>
      </c>
      <c r="L12" s="14">
        <f t="shared" si="3"/>
        <v>4</v>
      </c>
      <c r="N12" s="11" t="s">
        <v>84</v>
      </c>
      <c r="O12" s="16">
        <v>18283.310000000001</v>
      </c>
      <c r="P12" s="16">
        <f t="shared" si="4"/>
        <v>19806.91916666667</v>
      </c>
      <c r="Q12" s="6" t="s">
        <v>62</v>
      </c>
    </row>
    <row r="13" spans="1:19">
      <c r="A13" s="80"/>
      <c r="B13" s="11" t="s">
        <v>29</v>
      </c>
      <c r="C13" s="11" t="s">
        <v>82</v>
      </c>
      <c r="D13" s="12">
        <v>1</v>
      </c>
      <c r="E13" s="13">
        <f t="shared" si="0"/>
        <v>23175.609166666665</v>
      </c>
      <c r="F13" s="14">
        <v>1</v>
      </c>
      <c r="G13" s="15">
        <f t="shared" si="2"/>
        <v>23175.609166666665</v>
      </c>
      <c r="H13" s="14">
        <v>0</v>
      </c>
      <c r="I13" s="14">
        <v>0</v>
      </c>
      <c r="J13" s="15">
        <f t="shared" si="1"/>
        <v>0</v>
      </c>
      <c r="K13" s="25">
        <f t="shared" si="5"/>
        <v>23175.609166666665</v>
      </c>
      <c r="L13" s="14">
        <f t="shared" si="3"/>
        <v>1</v>
      </c>
    </row>
    <row r="14" spans="1:19">
      <c r="A14" s="80"/>
      <c r="B14" s="11" t="s">
        <v>29</v>
      </c>
      <c r="C14" s="11" t="s">
        <v>82</v>
      </c>
      <c r="D14" s="12">
        <v>0.5</v>
      </c>
      <c r="E14" s="13">
        <f t="shared" si="0"/>
        <v>23175.609166666665</v>
      </c>
      <c r="F14" s="14">
        <v>1</v>
      </c>
      <c r="G14" s="15">
        <f t="shared" si="2"/>
        <v>11587.804583333333</v>
      </c>
      <c r="H14" s="14">
        <v>0</v>
      </c>
      <c r="I14" s="14">
        <v>2</v>
      </c>
      <c r="J14" s="15">
        <f t="shared" si="1"/>
        <v>23175.609166666665</v>
      </c>
      <c r="K14" s="25">
        <f t="shared" si="5"/>
        <v>34763.41375</v>
      </c>
      <c r="L14" s="14">
        <f t="shared" si="3"/>
        <v>3</v>
      </c>
    </row>
    <row r="15" spans="1:19">
      <c r="A15" s="80"/>
      <c r="B15" s="17" t="s">
        <v>65</v>
      </c>
      <c r="C15" s="11" t="s">
        <v>83</v>
      </c>
      <c r="D15" s="18">
        <v>1</v>
      </c>
      <c r="E15" s="13">
        <f t="shared" si="0"/>
        <v>20620.719166666666</v>
      </c>
      <c r="F15" s="14">
        <v>3</v>
      </c>
      <c r="G15" s="15">
        <f t="shared" si="2"/>
        <v>61862.157500000001</v>
      </c>
      <c r="H15" s="14">
        <v>2</v>
      </c>
      <c r="I15" s="14">
        <v>0</v>
      </c>
      <c r="J15" s="15">
        <f t="shared" si="1"/>
        <v>0</v>
      </c>
      <c r="K15" s="25">
        <f t="shared" si="5"/>
        <v>20620.719166666669</v>
      </c>
      <c r="L15" s="14">
        <f t="shared" si="3"/>
        <v>1</v>
      </c>
    </row>
    <row r="16" spans="1:19">
      <c r="A16" s="80"/>
      <c r="B16" s="17" t="s">
        <v>65</v>
      </c>
      <c r="C16" s="11" t="s">
        <v>83</v>
      </c>
      <c r="D16" s="18">
        <v>0.5</v>
      </c>
      <c r="E16" s="13">
        <f t="shared" si="0"/>
        <v>20620.719166666666</v>
      </c>
      <c r="F16" s="14">
        <v>1</v>
      </c>
      <c r="G16" s="15">
        <f t="shared" si="2"/>
        <v>10310.359583333333</v>
      </c>
      <c r="H16" s="14">
        <v>0</v>
      </c>
      <c r="I16" s="14">
        <v>0</v>
      </c>
      <c r="J16" s="15">
        <v>0</v>
      </c>
      <c r="K16" s="25">
        <f t="shared" si="5"/>
        <v>10310.359583333333</v>
      </c>
      <c r="L16" s="14">
        <f t="shared" si="3"/>
        <v>1</v>
      </c>
    </row>
    <row r="17" spans="1:17">
      <c r="A17" s="80"/>
      <c r="B17" s="17" t="s">
        <v>87</v>
      </c>
      <c r="C17" s="11" t="s">
        <v>83</v>
      </c>
      <c r="D17" s="18">
        <v>1</v>
      </c>
      <c r="E17" s="13">
        <f>SUMIF($N$9:$N$12,C17,$O$9:$O$12)</f>
        <v>19034.509999999998</v>
      </c>
      <c r="F17" s="14">
        <v>2</v>
      </c>
      <c r="G17" s="15">
        <f t="shared" si="2"/>
        <v>38069.019999999997</v>
      </c>
      <c r="H17" s="14">
        <v>0</v>
      </c>
      <c r="I17" s="14">
        <v>0</v>
      </c>
      <c r="J17" s="15">
        <f t="shared" si="1"/>
        <v>0</v>
      </c>
      <c r="K17" s="25">
        <f>+(G17)-(H17*E17)+J17</f>
        <v>38069.019999999997</v>
      </c>
      <c r="L17" s="14">
        <f t="shared" si="3"/>
        <v>2</v>
      </c>
    </row>
    <row r="18" spans="1:17">
      <c r="A18" s="80"/>
      <c r="B18" s="17" t="s">
        <v>87</v>
      </c>
      <c r="C18" s="11" t="s">
        <v>83</v>
      </c>
      <c r="D18" s="18">
        <v>0.5</v>
      </c>
      <c r="E18" s="13">
        <f>SUMIF($N$9:$N$12,C18,$O$9:$O$12)</f>
        <v>19034.509999999998</v>
      </c>
      <c r="F18" s="14">
        <v>2</v>
      </c>
      <c r="G18" s="15">
        <f t="shared" si="2"/>
        <v>19034.509999999998</v>
      </c>
      <c r="H18" s="14">
        <v>0</v>
      </c>
      <c r="I18" s="14">
        <v>1</v>
      </c>
      <c r="J18" s="15">
        <f t="shared" si="1"/>
        <v>9517.2549999999992</v>
      </c>
      <c r="K18" s="25">
        <f>+(G18)-(H18*E18)+J18</f>
        <v>28551.764999999999</v>
      </c>
      <c r="L18" s="14">
        <f t="shared" si="3"/>
        <v>3</v>
      </c>
    </row>
    <row r="19" spans="1:17">
      <c r="A19" s="80"/>
      <c r="B19" s="81" t="s">
        <v>38</v>
      </c>
      <c r="C19" s="82"/>
      <c r="D19" s="82"/>
      <c r="E19" s="82"/>
      <c r="F19" s="82"/>
      <c r="G19" s="82"/>
      <c r="H19" s="82"/>
      <c r="I19" s="83"/>
      <c r="J19" s="24">
        <f>SUM(J8:J18)</f>
        <v>79044.082500000004</v>
      </c>
      <c r="K19" s="25"/>
      <c r="L19" s="14">
        <f>SUM(L8:L18)</f>
        <v>19</v>
      </c>
      <c r="N19" s="20"/>
    </row>
    <row r="20" spans="1:17" ht="39.75" customHeight="1">
      <c r="A20" s="84" t="s">
        <v>36</v>
      </c>
      <c r="B20" s="85"/>
      <c r="C20" s="85"/>
      <c r="D20" s="85"/>
      <c r="E20" s="85"/>
      <c r="F20" s="85"/>
      <c r="G20" s="85"/>
      <c r="H20" s="85"/>
      <c r="I20" s="85"/>
      <c r="J20" s="85"/>
      <c r="K20" s="26"/>
      <c r="L20" s="19"/>
      <c r="N20" s="115"/>
    </row>
    <row r="21" spans="1:17" ht="15">
      <c r="A21" s="86" t="s">
        <v>35</v>
      </c>
      <c r="B21" s="86"/>
      <c r="C21" s="86"/>
      <c r="D21" s="86"/>
      <c r="E21" s="21"/>
      <c r="F21" s="22"/>
      <c r="G21" s="22"/>
      <c r="H21" s="22"/>
      <c r="I21" s="22"/>
      <c r="J21" s="23"/>
      <c r="K21" s="38">
        <v>1000</v>
      </c>
      <c r="L21" s="19"/>
      <c r="N21" s="20"/>
    </row>
    <row r="22" spans="1:17" ht="15">
      <c r="A22" s="86" t="s">
        <v>11</v>
      </c>
      <c r="B22" s="86"/>
      <c r="C22" s="86"/>
      <c r="D22" s="86"/>
      <c r="E22" s="21"/>
      <c r="F22" s="22"/>
      <c r="G22" s="22"/>
      <c r="H22" s="22"/>
      <c r="I22" s="22"/>
      <c r="J22" s="23"/>
      <c r="K22" s="38">
        <v>0</v>
      </c>
      <c r="L22" s="19"/>
      <c r="N22" s="42"/>
      <c r="O22" s="43"/>
    </row>
    <row r="23" spans="1:17" ht="15">
      <c r="A23" s="86" t="s">
        <v>4</v>
      </c>
      <c r="B23" s="86"/>
      <c r="C23" s="86"/>
      <c r="D23" s="86"/>
      <c r="E23" s="21"/>
      <c r="F23" s="22"/>
      <c r="G23" s="22"/>
      <c r="H23" s="22"/>
      <c r="I23" s="22"/>
      <c r="J23" s="23"/>
      <c r="K23" s="38">
        <v>0</v>
      </c>
      <c r="L23" s="19"/>
      <c r="N23" s="41"/>
      <c r="O23" s="41"/>
      <c r="P23" s="41"/>
    </row>
    <row r="24" spans="1:17" ht="30" customHeight="1">
      <c r="A24" s="86" t="s">
        <v>45</v>
      </c>
      <c r="B24" s="86"/>
      <c r="C24" s="86"/>
      <c r="D24" s="86"/>
      <c r="E24" s="21"/>
      <c r="F24" s="22"/>
      <c r="G24" s="22"/>
      <c r="H24" s="22"/>
      <c r="I24" s="22"/>
      <c r="J24" s="23"/>
      <c r="K24" s="38">
        <v>3300</v>
      </c>
      <c r="L24" s="87" t="s">
        <v>89</v>
      </c>
      <c r="M24" s="87"/>
      <c r="N24" s="87"/>
      <c r="O24" s="87"/>
      <c r="P24" s="87"/>
      <c r="Q24" s="87"/>
    </row>
    <row r="25" spans="1:17" ht="21.6" customHeight="1">
      <c r="A25" s="86" t="s">
        <v>22</v>
      </c>
      <c r="B25" s="86"/>
      <c r="C25" s="86"/>
      <c r="D25" s="86"/>
      <c r="E25" s="21"/>
      <c r="F25" s="22"/>
      <c r="G25" s="22"/>
      <c r="H25" s="22"/>
      <c r="I25" s="22"/>
      <c r="J25" s="23"/>
      <c r="K25" s="38">
        <v>0</v>
      </c>
      <c r="L25" s="88"/>
      <c r="M25" s="88"/>
      <c r="N25" s="88"/>
      <c r="O25" s="88"/>
      <c r="P25" s="88"/>
      <c r="Q25" s="88"/>
    </row>
    <row r="26" spans="1:17" ht="15">
      <c r="A26" s="86" t="s">
        <v>32</v>
      </c>
      <c r="B26" s="86"/>
      <c r="C26" s="86"/>
      <c r="D26" s="86"/>
      <c r="E26" s="21"/>
      <c r="F26" s="22"/>
      <c r="G26" s="22"/>
      <c r="H26" s="22"/>
      <c r="I26" s="22"/>
      <c r="J26" s="23"/>
      <c r="K26" s="38">
        <v>0</v>
      </c>
      <c r="L26" s="30"/>
      <c r="N26" s="41"/>
      <c r="O26" s="41"/>
      <c r="P26" s="41"/>
    </row>
    <row r="27" spans="1:17" ht="32.4" customHeight="1">
      <c r="A27" s="74" t="s">
        <v>80</v>
      </c>
      <c r="B27" s="75"/>
      <c r="C27" s="75"/>
      <c r="D27" s="76"/>
      <c r="E27" s="21"/>
      <c r="F27" s="22"/>
      <c r="G27" s="22"/>
      <c r="H27" s="22"/>
      <c r="I27" s="22"/>
      <c r="J27" s="23"/>
      <c r="K27" s="38">
        <v>17400</v>
      </c>
      <c r="L27" s="77" t="s">
        <v>90</v>
      </c>
      <c r="M27" s="78"/>
      <c r="N27" s="78"/>
      <c r="O27" s="78"/>
      <c r="P27" s="78"/>
      <c r="Q27" s="79"/>
    </row>
    <row r="28" spans="1:17" ht="15">
      <c r="A28" s="86" t="s">
        <v>13</v>
      </c>
      <c r="B28" s="86"/>
      <c r="C28" s="86"/>
      <c r="D28" s="86"/>
      <c r="E28" s="21"/>
      <c r="F28" s="22"/>
      <c r="G28" s="22"/>
      <c r="H28" s="22"/>
      <c r="I28" s="22"/>
      <c r="J28" s="23"/>
      <c r="K28" s="38">
        <v>0</v>
      </c>
      <c r="L28" s="19"/>
    </row>
    <row r="29" spans="1:17" ht="15">
      <c r="A29" s="86" t="s">
        <v>14</v>
      </c>
      <c r="B29" s="86"/>
      <c r="C29" s="86"/>
      <c r="D29" s="86"/>
      <c r="E29" s="21"/>
      <c r="F29" s="22"/>
      <c r="G29" s="22"/>
      <c r="H29" s="22"/>
      <c r="I29" s="22"/>
      <c r="J29" s="23"/>
      <c r="K29" s="38">
        <v>61500</v>
      </c>
      <c r="L29" s="19"/>
    </row>
    <row r="30" spans="1:17" ht="15">
      <c r="A30" s="86" t="s">
        <v>33</v>
      </c>
      <c r="B30" s="86"/>
      <c r="C30" s="86"/>
      <c r="D30" s="86"/>
      <c r="E30" s="21"/>
      <c r="F30" s="22"/>
      <c r="G30" s="22"/>
      <c r="H30" s="22"/>
      <c r="I30" s="22"/>
      <c r="J30" s="23"/>
      <c r="K30" s="38">
        <v>34200</v>
      </c>
      <c r="L30" s="19"/>
    </row>
    <row r="31" spans="1:17" ht="15">
      <c r="A31" s="86" t="s">
        <v>15</v>
      </c>
      <c r="B31" s="86"/>
      <c r="C31" s="86"/>
      <c r="D31" s="86"/>
      <c r="E31" s="21"/>
      <c r="F31" s="22"/>
      <c r="G31" s="22"/>
      <c r="H31" s="22"/>
      <c r="I31" s="22"/>
      <c r="J31" s="23"/>
      <c r="K31" s="38">
        <v>0</v>
      </c>
      <c r="L31" s="19"/>
    </row>
    <row r="32" spans="1:17" ht="15">
      <c r="A32" s="86" t="s">
        <v>20</v>
      </c>
      <c r="B32" s="86"/>
      <c r="C32" s="86"/>
      <c r="D32" s="86"/>
      <c r="E32" s="21"/>
      <c r="F32" s="22"/>
      <c r="G32" s="22"/>
      <c r="H32" s="22"/>
      <c r="I32" s="22"/>
      <c r="J32" s="23"/>
      <c r="K32" s="38">
        <v>0</v>
      </c>
      <c r="L32" s="19"/>
    </row>
    <row r="33" spans="1:17" ht="15">
      <c r="A33" s="86" t="s">
        <v>16</v>
      </c>
      <c r="B33" s="86"/>
      <c r="C33" s="86"/>
      <c r="D33" s="86"/>
      <c r="E33" s="21"/>
      <c r="F33" s="22"/>
      <c r="G33" s="22"/>
      <c r="H33" s="22"/>
      <c r="I33" s="22"/>
      <c r="J33" s="23"/>
      <c r="K33" s="38">
        <v>112500</v>
      </c>
      <c r="L33" s="19"/>
      <c r="O33" s="43"/>
    </row>
    <row r="34" spans="1:17" ht="15">
      <c r="A34" s="86" t="s">
        <v>17</v>
      </c>
      <c r="B34" s="86"/>
      <c r="C34" s="86"/>
      <c r="D34" s="86"/>
      <c r="E34" s="21"/>
      <c r="F34" s="22"/>
      <c r="G34" s="22"/>
      <c r="H34" s="22"/>
      <c r="I34" s="22"/>
      <c r="J34" s="23"/>
      <c r="K34" s="38">
        <v>35800</v>
      </c>
      <c r="L34" s="19"/>
      <c r="N34" s="44"/>
      <c r="O34" s="44"/>
      <c r="P34" s="44"/>
    </row>
    <row r="35" spans="1:17" ht="17.399999999999999">
      <c r="A35" s="91" t="s">
        <v>21</v>
      </c>
      <c r="B35" s="91"/>
      <c r="C35" s="91"/>
      <c r="D35" s="91"/>
      <c r="E35" s="91"/>
      <c r="F35" s="91"/>
      <c r="G35" s="91"/>
      <c r="H35" s="91"/>
      <c r="I35" s="91"/>
      <c r="J35" s="91"/>
      <c r="K35" s="27">
        <f>SUM(K8:K34)</f>
        <v>589175.8311435834</v>
      </c>
      <c r="L35" s="92" t="s">
        <v>23</v>
      </c>
      <c r="M35" s="92"/>
      <c r="N35" s="92"/>
      <c r="O35" s="92"/>
      <c r="P35" s="92"/>
      <c r="Q35" s="92"/>
    </row>
    <row r="37" spans="1:17" ht="25.5" customHeight="1">
      <c r="A37" s="89" t="s">
        <v>24</v>
      </c>
      <c r="B37" s="85"/>
      <c r="C37" s="85"/>
      <c r="D37" s="85"/>
      <c r="E37" s="85"/>
      <c r="F37" s="85"/>
      <c r="G37" s="85"/>
      <c r="H37" s="85"/>
      <c r="I37" s="85"/>
      <c r="J37" s="85"/>
      <c r="K37" s="90"/>
      <c r="N37" s="39"/>
      <c r="O37" s="39"/>
      <c r="P37" s="39"/>
    </row>
    <row r="38" spans="1:17" ht="41.25" customHeight="1">
      <c r="A38" s="86" t="s">
        <v>25</v>
      </c>
      <c r="B38" s="86"/>
      <c r="C38" s="86"/>
      <c r="D38" s="86"/>
      <c r="E38" s="21"/>
      <c r="F38" s="22"/>
      <c r="G38" s="22"/>
      <c r="H38" s="22"/>
      <c r="I38" s="22"/>
      <c r="J38" s="23"/>
      <c r="K38" s="28">
        <v>21008.16</v>
      </c>
      <c r="L38" s="93" t="s">
        <v>58</v>
      </c>
      <c r="M38" s="93"/>
      <c r="N38" s="93"/>
      <c r="O38" s="93"/>
      <c r="P38" s="93"/>
      <c r="Q38" s="93"/>
    </row>
    <row r="39" spans="1:17" ht="55.8" customHeight="1">
      <c r="A39" s="94" t="s">
        <v>41</v>
      </c>
      <c r="B39" s="95"/>
      <c r="C39" s="95"/>
      <c r="D39" s="95"/>
      <c r="E39" s="95"/>
      <c r="F39" s="95"/>
      <c r="G39" s="95"/>
      <c r="H39" s="95"/>
      <c r="I39" s="95"/>
      <c r="J39" s="96"/>
      <c r="K39" s="37">
        <v>45925.18</v>
      </c>
      <c r="L39" s="93" t="s">
        <v>88</v>
      </c>
      <c r="M39" s="93"/>
      <c r="N39" s="93"/>
      <c r="O39" s="93"/>
      <c r="P39" s="93"/>
      <c r="Q39" s="93"/>
    </row>
    <row r="40" spans="1:17" ht="37.5" customHeight="1">
      <c r="A40" s="97" t="s">
        <v>26</v>
      </c>
      <c r="B40" s="97"/>
      <c r="C40" s="97"/>
      <c r="D40" s="97"/>
      <c r="E40" s="97"/>
      <c r="F40" s="97"/>
      <c r="G40" s="97"/>
      <c r="H40" s="97"/>
      <c r="I40" s="97"/>
      <c r="J40" s="97"/>
      <c r="K40" s="29">
        <f>+K35-K38-K39</f>
        <v>522242.49114358338</v>
      </c>
      <c r="L40" s="98" t="s">
        <v>27</v>
      </c>
      <c r="M40" s="98"/>
      <c r="N40" s="98"/>
      <c r="O40" s="98"/>
      <c r="P40" s="98"/>
      <c r="Q40" s="98"/>
    </row>
    <row r="42" spans="1:17">
      <c r="K42" s="1" t="s">
        <v>42</v>
      </c>
    </row>
    <row r="43" spans="1:17">
      <c r="F43" s="2"/>
    </row>
  </sheetData>
  <mergeCells count="35">
    <mergeCell ref="A38:D38"/>
    <mergeCell ref="L38:Q38"/>
    <mergeCell ref="A39:J39"/>
    <mergeCell ref="L39:Q39"/>
    <mergeCell ref="A40:J40"/>
    <mergeCell ref="L40:Q40"/>
    <mergeCell ref="A37:K37"/>
    <mergeCell ref="A28:D28"/>
    <mergeCell ref="A29:D29"/>
    <mergeCell ref="A30:D30"/>
    <mergeCell ref="A31:D31"/>
    <mergeCell ref="A32:D32"/>
    <mergeCell ref="A33:D33"/>
    <mergeCell ref="A34:D34"/>
    <mergeCell ref="A35:J35"/>
    <mergeCell ref="L35:Q35"/>
    <mergeCell ref="A27:D27"/>
    <mergeCell ref="L27:Q27"/>
    <mergeCell ref="A8:A19"/>
    <mergeCell ref="B19:I19"/>
    <mergeCell ref="A20:J20"/>
    <mergeCell ref="A21:D21"/>
    <mergeCell ref="A22:D22"/>
    <mergeCell ref="A23:D23"/>
    <mergeCell ref="A24:D24"/>
    <mergeCell ref="L24:Q24"/>
    <mergeCell ref="A25:D25"/>
    <mergeCell ref="L25:Q25"/>
    <mergeCell ref="A26:D26"/>
    <mergeCell ref="N7:O7"/>
    <mergeCell ref="A1:K1"/>
    <mergeCell ref="A2:J3"/>
    <mergeCell ref="K2:K3"/>
    <mergeCell ref="A4:J5"/>
    <mergeCell ref="A6:I6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9D393-3156-4A43-BBEC-86F16F9B7BF7}">
  <dimension ref="A1:H26"/>
  <sheetViews>
    <sheetView topLeftCell="A6" workbookViewId="0">
      <selection activeCell="E18" sqref="E18"/>
    </sheetView>
  </sheetViews>
  <sheetFormatPr defaultRowHeight="14.4"/>
  <cols>
    <col min="1" max="1" width="15.88671875" customWidth="1"/>
    <col min="2" max="2" width="10.109375" customWidth="1"/>
    <col min="5" max="5" width="12.6640625" customWidth="1"/>
    <col min="6" max="6" width="13.33203125" customWidth="1"/>
    <col min="7" max="7" width="15.21875" customWidth="1"/>
    <col min="8" max="8" width="12.33203125" customWidth="1"/>
  </cols>
  <sheetData>
    <row r="1" spans="1:7">
      <c r="A1" s="99" t="s">
        <v>74</v>
      </c>
      <c r="B1" s="99"/>
      <c r="C1" s="99"/>
      <c r="D1" s="99"/>
      <c r="E1" s="99"/>
      <c r="F1" s="99"/>
      <c r="G1" s="99"/>
    </row>
    <row r="2" spans="1:7">
      <c r="A2" s="40"/>
      <c r="B2" s="40"/>
      <c r="C2" s="40"/>
      <c r="D2" s="40"/>
      <c r="E2" s="40"/>
      <c r="F2" s="40"/>
      <c r="G2" s="40"/>
    </row>
    <row r="3" spans="1:7">
      <c r="A3" s="99" t="s">
        <v>75</v>
      </c>
      <c r="B3" s="99"/>
      <c r="C3" s="99"/>
      <c r="D3" s="99"/>
      <c r="E3" s="99"/>
      <c r="F3" s="99"/>
      <c r="G3" s="99"/>
    </row>
    <row r="4" spans="1:7" ht="15" thickBot="1"/>
    <row r="5" spans="1:7">
      <c r="A5" s="100" t="s">
        <v>46</v>
      </c>
      <c r="B5" s="102" t="s">
        <v>47</v>
      </c>
      <c r="C5" s="102" t="s">
        <v>48</v>
      </c>
      <c r="D5" s="102" t="s">
        <v>49</v>
      </c>
      <c r="E5" s="102" t="s">
        <v>50</v>
      </c>
      <c r="F5" s="102" t="s">
        <v>51</v>
      </c>
      <c r="G5" s="105" t="s">
        <v>52</v>
      </c>
    </row>
    <row r="6" spans="1:7">
      <c r="A6" s="101"/>
      <c r="B6" s="103"/>
      <c r="C6" s="104"/>
      <c r="D6" s="103"/>
      <c r="E6" s="103"/>
      <c r="F6" s="103"/>
      <c r="G6" s="106"/>
    </row>
    <row r="7" spans="1:7">
      <c r="A7" s="31" t="s">
        <v>1</v>
      </c>
      <c r="B7" s="32">
        <v>0</v>
      </c>
      <c r="C7" s="33">
        <v>0</v>
      </c>
      <c r="D7" s="34">
        <f>+B7+C7</f>
        <v>0</v>
      </c>
      <c r="E7" s="47">
        <f>23980.09*D7</f>
        <v>0</v>
      </c>
      <c r="F7" s="48">
        <f>(20572.11/12*13)*D7</f>
        <v>0</v>
      </c>
      <c r="G7" s="49">
        <f>+E7-F7</f>
        <v>0</v>
      </c>
    </row>
    <row r="8" spans="1:7">
      <c r="A8" s="31" t="s">
        <v>53</v>
      </c>
      <c r="B8" s="32">
        <v>0</v>
      </c>
      <c r="C8" s="33">
        <v>0</v>
      </c>
      <c r="D8" s="34">
        <f>+B8+C8</f>
        <v>0</v>
      </c>
      <c r="E8" s="47">
        <f>(22039.41*D8)</f>
        <v>0</v>
      </c>
      <c r="F8" s="48">
        <f>(18854.63/12*13)*D8</f>
        <v>0</v>
      </c>
      <c r="G8" s="49">
        <f>+E8-F8</f>
        <v>0</v>
      </c>
    </row>
    <row r="9" spans="1:7">
      <c r="A9" s="31" t="s">
        <v>5</v>
      </c>
      <c r="B9" s="32">
        <v>3</v>
      </c>
      <c r="C9" s="33">
        <v>0</v>
      </c>
      <c r="D9" s="34">
        <f>+B9+C9</f>
        <v>3</v>
      </c>
      <c r="E9" s="47">
        <f>(20652.45*D9)</f>
        <v>61957.350000000006</v>
      </c>
      <c r="F9" s="48">
        <f>(17712/12*13)*D9</f>
        <v>57564</v>
      </c>
      <c r="G9" s="49">
        <f>+E9-F9</f>
        <v>4393.3500000000058</v>
      </c>
    </row>
    <row r="10" spans="1:7">
      <c r="A10" s="31" t="s">
        <v>3</v>
      </c>
      <c r="B10" s="32">
        <v>1</v>
      </c>
      <c r="C10" s="33">
        <v>0</v>
      </c>
      <c r="D10" s="34">
        <f>+B10+C10</f>
        <v>1</v>
      </c>
      <c r="E10" s="47">
        <f>19536.91*D10</f>
        <v>19536.91</v>
      </c>
      <c r="F10" s="48">
        <f>(16754.75/12*13)*D10</f>
        <v>18150.979166666668</v>
      </c>
      <c r="G10" s="49">
        <f>+E10-F10</f>
        <v>1385.930833333332</v>
      </c>
    </row>
    <row r="11" spans="1:7">
      <c r="A11" s="31" t="s">
        <v>54</v>
      </c>
      <c r="B11" s="32">
        <v>0</v>
      </c>
      <c r="C11" s="33">
        <v>0</v>
      </c>
      <c r="D11" s="34">
        <f>+B11+C11</f>
        <v>0</v>
      </c>
      <c r="E11" s="50">
        <f>(18482.72*D11)</f>
        <v>0</v>
      </c>
      <c r="F11" s="48">
        <f>(15857.85/12*13)*D11</f>
        <v>0</v>
      </c>
      <c r="G11" s="49">
        <f>+E11-F11</f>
        <v>0</v>
      </c>
    </row>
    <row r="12" spans="1:7" ht="15" thickBot="1">
      <c r="A12" s="35" t="s">
        <v>55</v>
      </c>
      <c r="B12" s="36">
        <f>SUM(B7:B11)</f>
        <v>4</v>
      </c>
      <c r="C12" s="36">
        <f>SUM(C7:C11)</f>
        <v>0</v>
      </c>
      <c r="D12" s="36">
        <f>SUM(D7:D11)</f>
        <v>4</v>
      </c>
      <c r="E12" s="51"/>
      <c r="F12" s="52"/>
      <c r="G12" s="53">
        <f>SUM(G7:G11)</f>
        <v>5779.2808333333378</v>
      </c>
    </row>
    <row r="13" spans="1:7" ht="15" thickBot="1"/>
    <row r="14" spans="1:7">
      <c r="A14" s="100" t="s">
        <v>46</v>
      </c>
      <c r="B14" s="102" t="s">
        <v>47</v>
      </c>
      <c r="C14" s="102" t="s">
        <v>48</v>
      </c>
      <c r="D14" s="102" t="s">
        <v>49</v>
      </c>
      <c r="E14" s="102" t="s">
        <v>72</v>
      </c>
      <c r="F14" s="102" t="s">
        <v>50</v>
      </c>
      <c r="G14" s="105" t="s">
        <v>52</v>
      </c>
    </row>
    <row r="15" spans="1:7">
      <c r="A15" s="101"/>
      <c r="B15" s="103"/>
      <c r="C15" s="104"/>
      <c r="D15" s="103"/>
      <c r="E15" s="103"/>
      <c r="F15" s="103"/>
      <c r="G15" s="106"/>
    </row>
    <row r="16" spans="1:7">
      <c r="A16" s="31" t="s">
        <v>66</v>
      </c>
      <c r="B16" s="32">
        <v>1</v>
      </c>
      <c r="C16" s="33">
        <v>0</v>
      </c>
      <c r="D16" s="34">
        <f>+B16+C16</f>
        <v>1</v>
      </c>
      <c r="E16" s="47">
        <f>25146.71*D16</f>
        <v>25146.71</v>
      </c>
      <c r="F16" s="47">
        <f>23980.09*D16</f>
        <v>23980.09</v>
      </c>
      <c r="G16" s="49">
        <f>+E16-F16</f>
        <v>1166.619999999999</v>
      </c>
    </row>
    <row r="17" spans="1:8">
      <c r="A17" s="31" t="s">
        <v>67</v>
      </c>
      <c r="B17" s="32">
        <v>5</v>
      </c>
      <c r="C17" s="33">
        <v>3.66</v>
      </c>
      <c r="D17" s="34">
        <f>+B17+C17</f>
        <v>8.66</v>
      </c>
      <c r="E17" s="47">
        <f>(23175.61*D17)</f>
        <v>200700.78260000001</v>
      </c>
      <c r="F17" s="47">
        <f>(22039.41*D17)</f>
        <v>190861.29060000001</v>
      </c>
      <c r="G17" s="49">
        <f>+E17-F17</f>
        <v>9839.4919999999984</v>
      </c>
    </row>
    <row r="18" spans="1:8">
      <c r="A18" s="31" t="s">
        <v>68</v>
      </c>
      <c r="B18" s="32">
        <v>2</v>
      </c>
      <c r="C18" s="33">
        <v>1.5</v>
      </c>
      <c r="D18" s="34">
        <f>+B18+C18</f>
        <v>3.5</v>
      </c>
      <c r="E18" s="47">
        <f>(20620.72*D18)</f>
        <v>72172.52</v>
      </c>
      <c r="F18" s="47">
        <f>(20652.45*D18)</f>
        <v>72283.574999999997</v>
      </c>
      <c r="G18" s="49">
        <f>+E18-F18</f>
        <v>-111.05499999999302</v>
      </c>
    </row>
    <row r="19" spans="1:8">
      <c r="A19" s="31" t="s">
        <v>73</v>
      </c>
      <c r="B19" s="32">
        <v>0</v>
      </c>
      <c r="C19" s="33">
        <v>0</v>
      </c>
      <c r="D19" s="34">
        <f>+B19+C19</f>
        <v>0</v>
      </c>
      <c r="E19" s="47">
        <f>19806.92*D19</f>
        <v>0</v>
      </c>
      <c r="F19" s="47">
        <f>19536.91*D19</f>
        <v>0</v>
      </c>
      <c r="G19" s="49">
        <f>+E19-F19</f>
        <v>0</v>
      </c>
    </row>
    <row r="20" spans="1:8" ht="15" thickBot="1">
      <c r="A20" s="35" t="s">
        <v>55</v>
      </c>
      <c r="B20" s="36">
        <f>SUM(B16:B19)</f>
        <v>8</v>
      </c>
      <c r="C20" s="36">
        <f>SUM(C16:C19)</f>
        <v>5.16</v>
      </c>
      <c r="D20" s="36">
        <f>SUM(D16:D19)</f>
        <v>13.16</v>
      </c>
      <c r="E20" s="51"/>
      <c r="F20" s="52"/>
      <c r="G20" s="53">
        <f>SUM(G16:G19)</f>
        <v>10895.057000000004</v>
      </c>
    </row>
    <row r="22" spans="1:8">
      <c r="A22" s="99" t="s">
        <v>79</v>
      </c>
      <c r="B22" s="99"/>
      <c r="C22" s="99"/>
      <c r="D22" s="99"/>
      <c r="E22" s="99"/>
      <c r="F22" s="99"/>
      <c r="G22" s="99"/>
      <c r="H22" s="99"/>
    </row>
    <row r="23" spans="1:8" ht="15" thickBot="1"/>
    <row r="24" spans="1:8">
      <c r="A24" s="107" t="s">
        <v>70</v>
      </c>
      <c r="B24" s="109" t="s">
        <v>46</v>
      </c>
      <c r="C24" s="112" t="s">
        <v>76</v>
      </c>
      <c r="D24" s="112"/>
      <c r="E24" s="102" t="s">
        <v>52</v>
      </c>
      <c r="F24" s="102" t="s">
        <v>56</v>
      </c>
      <c r="G24" s="102" t="s">
        <v>57</v>
      </c>
      <c r="H24" s="105" t="s">
        <v>78</v>
      </c>
    </row>
    <row r="25" spans="1:8" ht="20.399999999999999" customHeight="1">
      <c r="A25" s="108"/>
      <c r="B25" s="110"/>
      <c r="C25" s="113"/>
      <c r="D25" s="113"/>
      <c r="E25" s="104"/>
      <c r="F25" s="104"/>
      <c r="G25" s="104"/>
      <c r="H25" s="114"/>
    </row>
    <row r="26" spans="1:8" ht="27" thickBot="1">
      <c r="A26" s="45" t="s">
        <v>71</v>
      </c>
      <c r="B26" s="46" t="s">
        <v>69</v>
      </c>
      <c r="C26" s="111" t="s">
        <v>77</v>
      </c>
      <c r="D26" s="111"/>
      <c r="E26" s="54">
        <v>19235.759999999998</v>
      </c>
      <c r="F26" s="54">
        <f>+E26*0.2668</f>
        <v>5132.1007679999993</v>
      </c>
      <c r="G26" s="55">
        <f>E26*0.085</f>
        <v>1635.0396000000001</v>
      </c>
      <c r="H26" s="56">
        <f>SUM(E26:G26)/36*6</f>
        <v>4333.8167279999998</v>
      </c>
    </row>
  </sheetData>
  <mergeCells count="25">
    <mergeCell ref="A24:A25"/>
    <mergeCell ref="B24:B25"/>
    <mergeCell ref="C26:D26"/>
    <mergeCell ref="C24:D25"/>
    <mergeCell ref="F14:F15"/>
    <mergeCell ref="A22:H22"/>
    <mergeCell ref="H24:H25"/>
    <mergeCell ref="E24:E25"/>
    <mergeCell ref="F24:F25"/>
    <mergeCell ref="G24:G25"/>
    <mergeCell ref="G14:G15"/>
    <mergeCell ref="A14:A15"/>
    <mergeCell ref="B14:B15"/>
    <mergeCell ref="C14:C15"/>
    <mergeCell ref="D14:D15"/>
    <mergeCell ref="E14:E15"/>
    <mergeCell ref="A1:G1"/>
    <mergeCell ref="A5:A6"/>
    <mergeCell ref="B5:B6"/>
    <mergeCell ref="C5:C6"/>
    <mergeCell ref="D5:D6"/>
    <mergeCell ref="E5:E6"/>
    <mergeCell ref="F5:F6"/>
    <mergeCell ref="A3:G3"/>
    <mergeCell ref="G5:G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6368AE1531C545A9203F19F8207FB0" ma:contentTypeVersion="13" ma:contentTypeDescription="Creare un nuovo documento." ma:contentTypeScope="" ma:versionID="bebe2ea59241f238852155ce85eaa38f">
  <xsd:schema xmlns:xsd="http://www.w3.org/2001/XMLSchema" xmlns:xs="http://www.w3.org/2001/XMLSchema" xmlns:p="http://schemas.microsoft.com/office/2006/metadata/properties" xmlns:ns2="198710eb-c43c-4e45-90b1-b1314be3c759" xmlns:ns3="20afe9d6-392a-487e-83a3-c8a2b3005502" targetNamespace="http://schemas.microsoft.com/office/2006/metadata/properties" ma:root="true" ma:fieldsID="440e741fbafcb803d3ea4f23439b5752" ns2:_="" ns3:_="">
    <xsd:import namespace="198710eb-c43c-4e45-90b1-b1314be3c759"/>
    <xsd:import namespace="20afe9d6-392a-487e-83a3-c8a2b300550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710eb-c43c-4e45-90b1-b1314be3c7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fe9d6-392a-487e-83a3-c8a2b30055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2E28B9-B87A-4C6A-91C4-4711CE8DD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8710eb-c43c-4e45-90b1-b1314be3c759"/>
    <ds:schemaRef ds:uri="20afe9d6-392a-487e-83a3-c8a2b30055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34BD49-DAFE-40B5-B7F3-40259F3165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55D11A-B705-4C37-8750-13F9E11430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Allegato D - raccordo</vt:lpstr>
      <vt:lpstr>Componenti escluse</vt:lpstr>
      <vt:lpstr>'Allegato D - raccordo'!Area_stampa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gianluca.bertagna</dc:creator>
  <cp:lastModifiedBy>Smartworking1</cp:lastModifiedBy>
  <cp:lastPrinted>2023-09-29T21:19:59Z</cp:lastPrinted>
  <dcterms:created xsi:type="dcterms:W3CDTF">2018-08-06T10:24:04Z</dcterms:created>
  <dcterms:modified xsi:type="dcterms:W3CDTF">2023-09-30T21:29:15Z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0x010100AD6368AE1531C545A9203F19F8207FB0</vt:lpwstr>
  </property>
</Properties>
</file>